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1400" yWindow="420" windowWidth="24140" windowHeight="16000" tabRatio="500"/>
  </bookViews>
  <sheets>
    <sheet name="851215_Low Kd" sheetId="9" r:id="rId1"/>
    <sheet name="851215_High Kd" sheetId="10" r:id="rId2"/>
  </sheets>
  <definedNames>
    <definedName name="_xlnm.Print_Area" localSheetId="1">'851215_High Kd'!$A$1:$M$37</definedName>
    <definedName name="_xlnm.Print_Area" localSheetId="0">'851215_Low Kd'!$A$1:$M$37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0" l="1"/>
  <c r="F41" i="10"/>
  <c r="F39" i="10"/>
  <c r="F40" i="9"/>
  <c r="F41" i="9"/>
  <c r="F39" i="9"/>
  <c r="B30" i="9"/>
  <c r="B29" i="9"/>
  <c r="D35" i="9"/>
  <c r="D36" i="9"/>
  <c r="D34" i="9"/>
  <c r="B30" i="10"/>
  <c r="B29" i="10"/>
  <c r="B35" i="10"/>
  <c r="D35" i="10"/>
  <c r="B36" i="10"/>
  <c r="D36" i="10"/>
  <c r="B34" i="10"/>
  <c r="D34" i="10"/>
  <c r="G38" i="9"/>
  <c r="G39" i="9"/>
  <c r="G40" i="9"/>
  <c r="G41" i="9"/>
  <c r="G42" i="9"/>
  <c r="G33" i="9"/>
  <c r="E34" i="9"/>
  <c r="F34" i="9"/>
  <c r="G34" i="9"/>
  <c r="E35" i="9"/>
  <c r="F35" i="9"/>
  <c r="G35" i="9"/>
  <c r="E36" i="9"/>
  <c r="F36" i="9"/>
  <c r="G36" i="9"/>
  <c r="G37" i="9"/>
  <c r="I6" i="10"/>
  <c r="I10" i="10"/>
  <c r="B17" i="10"/>
  <c r="B40" i="10"/>
  <c r="B44" i="10"/>
  <c r="B45" i="10"/>
  <c r="B43" i="10"/>
  <c r="B42" i="10"/>
  <c r="B9" i="10"/>
  <c r="B23" i="10"/>
  <c r="B19" i="10"/>
  <c r="B18" i="10"/>
  <c r="B20" i="10"/>
  <c r="B21" i="10"/>
  <c r="B22" i="10"/>
  <c r="B10" i="10"/>
  <c r="B24" i="10"/>
  <c r="B25" i="10"/>
  <c r="G38" i="10"/>
  <c r="B7" i="10"/>
  <c r="C34" i="10"/>
  <c r="G39" i="10"/>
  <c r="C35" i="10"/>
  <c r="G40" i="10"/>
  <c r="C36" i="10"/>
  <c r="G41" i="10"/>
  <c r="G42" i="10"/>
  <c r="N5" i="10"/>
  <c r="N6" i="10"/>
  <c r="N7" i="10"/>
  <c r="B41" i="10"/>
  <c r="G33" i="10"/>
  <c r="E34" i="10"/>
  <c r="F34" i="10"/>
  <c r="G34" i="10"/>
  <c r="E35" i="10"/>
  <c r="F35" i="10"/>
  <c r="G35" i="10"/>
  <c r="E36" i="10"/>
  <c r="F36" i="10"/>
  <c r="G36" i="10"/>
  <c r="G37" i="10"/>
  <c r="A36" i="10"/>
  <c r="A35" i="10"/>
  <c r="A34" i="10"/>
  <c r="N4" i="10"/>
  <c r="B9" i="9"/>
  <c r="I6" i="9"/>
  <c r="I10" i="9"/>
  <c r="B17" i="9"/>
  <c r="B40" i="9"/>
  <c r="B42" i="9"/>
  <c r="B43" i="9"/>
  <c r="B44" i="9"/>
  <c r="B45" i="9"/>
  <c r="B7" i="9"/>
  <c r="B36" i="9"/>
  <c r="C36" i="9"/>
  <c r="B18" i="9"/>
  <c r="B19" i="9"/>
  <c r="B20" i="9"/>
  <c r="N5" i="9"/>
  <c r="N6" i="9"/>
  <c r="N7" i="9"/>
  <c r="B41" i="9"/>
  <c r="B35" i="9"/>
  <c r="C35" i="9"/>
  <c r="B34" i="9"/>
  <c r="C34" i="9"/>
  <c r="B23" i="9"/>
  <c r="B21" i="9"/>
  <c r="B22" i="9"/>
  <c r="B10" i="9"/>
  <c r="B24" i="9"/>
  <c r="B25" i="9"/>
  <c r="A36" i="9"/>
  <c r="A35" i="9"/>
  <c r="A34" i="9"/>
  <c r="N4" i="9"/>
</calcChain>
</file>

<file path=xl/comments1.xml><?xml version="1.0" encoding="utf-8"?>
<comments xmlns="http://schemas.openxmlformats.org/spreadsheetml/2006/main">
  <authors>
    <author>Rafael Muñoz-Carpena</author>
  </authors>
  <commentList>
    <comment ref="B44" authorId="0">
      <text>
        <r>
          <rPr>
            <b/>
            <sz val="9"/>
            <color indexed="81"/>
            <rFont val="Calibri"/>
            <family val="2"/>
          </rPr>
          <t>Rafael Muñoz-Carpena:</t>
        </r>
        <r>
          <rPr>
            <sz val="9"/>
            <color indexed="81"/>
            <rFont val="Calibri"/>
            <family val="2"/>
          </rPr>
          <t xml:space="preserve">
Eq. 4 with outflow quantities)
</t>
        </r>
      </text>
    </comment>
  </commentList>
</comments>
</file>

<file path=xl/comments2.xml><?xml version="1.0" encoding="utf-8"?>
<comments xmlns="http://schemas.openxmlformats.org/spreadsheetml/2006/main">
  <authors>
    <author>Rafael Muñoz-Carpena</author>
  </authors>
  <commentList>
    <comment ref="B44" authorId="0">
      <text>
        <r>
          <rPr>
            <b/>
            <sz val="9"/>
            <color indexed="81"/>
            <rFont val="Calibri"/>
            <family val="2"/>
          </rPr>
          <t>Rafael Muñoz-Carpena:</t>
        </r>
        <r>
          <rPr>
            <sz val="9"/>
            <color indexed="81"/>
            <rFont val="Calibri"/>
            <family val="2"/>
          </rPr>
          <t xml:space="preserve">
Eq. 4 with outflow quantities)
</t>
        </r>
      </text>
    </comment>
  </commentList>
</comments>
</file>

<file path=xl/sharedStrings.xml><?xml version="1.0" encoding="utf-8"?>
<sst xmlns="http://schemas.openxmlformats.org/spreadsheetml/2006/main" count="258" uniqueCount="97">
  <si>
    <t>L/Kg</t>
  </si>
  <si>
    <t>%</t>
  </si>
  <si>
    <t>day</t>
  </si>
  <si>
    <t>(-)</t>
  </si>
  <si>
    <t>cm</t>
  </si>
  <si>
    <t>theta(-)</t>
  </si>
  <si>
    <t>m3 = Runoff inflow</t>
  </si>
  <si>
    <t>Kg = Sediment inflow</t>
  </si>
  <si>
    <t>%  = Infiltration (dQ)</t>
  </si>
  <si>
    <t>%  = Sediment reduction (dE)</t>
  </si>
  <si>
    <t>%  = Runoff inflow reduction</t>
  </si>
  <si>
    <t>%  = Pesticide reduction (dP)</t>
  </si>
  <si>
    <t>T(C)</t>
  </si>
  <si>
    <t>% Clay in sediment (%CL)=</t>
  </si>
  <si>
    <t>Soil field capacity (FC)=</t>
  </si>
  <si>
    <t>Mixng layer thickness (dml)</t>
  </si>
  <si>
    <t>No. of days between events=</t>
  </si>
  <si>
    <t>Partition coefficient (Kd)=</t>
  </si>
  <si>
    <t>Pesticide half-life (Kref)=</t>
  </si>
  <si>
    <t>Incoming pesticide mass (mi)=</t>
  </si>
  <si>
    <t>Outputs for Water Quality</t>
  </si>
  <si>
    <t>---------------------------------------------------------------</t>
  </si>
  <si>
    <t xml:space="preserve">    = Phase distribution, Fph</t>
  </si>
  <si>
    <t>Eq. 5: mf=</t>
  </si>
  <si>
    <t>Eq: 6: mf,sed=</t>
  </si>
  <si>
    <t>Eq 7: CF=</t>
  </si>
  <si>
    <t>Eq 9: mml=</t>
  </si>
  <si>
    <t>mres,end=</t>
  </si>
  <si>
    <t>mg/L</t>
  </si>
  <si>
    <t>Other inputs</t>
  </si>
  <si>
    <t>Inputs for Water Quality (IWQ)</t>
  </si>
  <si>
    <t>--------------------------------------------</t>
  </si>
  <si>
    <t>Kg/L</t>
  </si>
  <si>
    <t>Eq 10: Est. bulk density ρb=</t>
  </si>
  <si>
    <t>Eq 11: mres</t>
  </si>
  <si>
    <t>Vi=</t>
  </si>
  <si>
    <t>VR=</t>
  </si>
  <si>
    <t>Vo=</t>
  </si>
  <si>
    <t>VF=</t>
  </si>
  <si>
    <t>m3</t>
  </si>
  <si>
    <t>Eq: 6: mf,F=</t>
  </si>
  <si>
    <t>mo=</t>
  </si>
  <si>
    <t>day-1</t>
  </si>
  <si>
    <t>Outputs for Water Balance (OSM)</t>
  </si>
  <si>
    <t>Volume from rainfall=</t>
  </si>
  <si>
    <t>Volume from up-field=</t>
  </si>
  <si>
    <t>Volume infiltrated=</t>
  </si>
  <si>
    <t>Volume from outflow=</t>
  </si>
  <si>
    <t>ISO: Porosity (OS)=</t>
  </si>
  <si>
    <t>IKW:Filter length (VL)=</t>
  </si>
  <si>
    <t>m</t>
  </si>
  <si>
    <t>IKW: Filter width (FWIDTH)=</t>
  </si>
  <si>
    <t>mg/Kg</t>
  </si>
  <si>
    <t>mg</t>
  </si>
  <si>
    <t>Event 841215, from Horatio Meyer</t>
  </si>
  <si>
    <t>infiltrated=</t>
  </si>
  <si>
    <t>Type of problem= Pesticide trapping (Sabbagh et al.,2009)</t>
  </si>
  <si>
    <t>Kg</t>
  </si>
  <si>
    <t>Sediment inflow</t>
  </si>
  <si>
    <t>Sedimen outflow</t>
  </si>
  <si>
    <t>Trapping efficiency</t>
  </si>
  <si>
    <t>Mi</t>
  </si>
  <si>
    <t>Mo</t>
  </si>
  <si>
    <t>Eq. 4: Si=</t>
  </si>
  <si>
    <t>Eq. 4: Si=So</t>
  </si>
  <si>
    <t>mg/kg</t>
  </si>
  <si>
    <t>mg/m2=</t>
  </si>
  <si>
    <t>IRO: Field length (SLENGTH)=</t>
  </si>
  <si>
    <t>IRO: Field width (SWIDTH)=</t>
  </si>
  <si>
    <t>Mo=</t>
  </si>
  <si>
    <t>Mi-Mo=</t>
  </si>
  <si>
    <t>Rout=</t>
  </si>
  <si>
    <t>L</t>
  </si>
  <si>
    <t>est_So=</t>
  </si>
  <si>
    <t>t1/2(d)=ln2/Kref=</t>
  </si>
  <si>
    <t>2) Degradation after event</t>
  </si>
  <si>
    <t>1) Pesticide partitioning within filter</t>
  </si>
  <si>
    <t>2) Pesticide partitioning at the outflow</t>
  </si>
  <si>
    <t>mg =</t>
  </si>
  <si>
    <t>Pesticide sed flux mass (mop)</t>
  </si>
  <si>
    <t>Pesticide runoff flux mass (mod)</t>
  </si>
  <si>
    <t>Sed outflow (Mo)</t>
  </si>
  <si>
    <t>Runoff outflow (Vo)</t>
  </si>
  <si>
    <t>KT</t>
  </si>
  <si>
    <t>Ktheta</t>
  </si>
  <si>
    <t>K = Kref*KT*Ktheta</t>
  </si>
  <si>
    <t>Pesticide degradation equation (IDG)=</t>
  </si>
  <si>
    <t>Eq12: mres (mg)</t>
  </si>
  <si>
    <t xml:space="preserve"> 3:  K(Kref,T), Tref=298K</t>
  </si>
  <si>
    <t xml:space="preserve"> 1: EU: FOCUS, K(Kref,T,theta), Tref=293K</t>
  </si>
  <si>
    <t xml:space="preserve"> 2: US-EPA, K=Kref</t>
  </si>
  <si>
    <t xml:space="preserve"> 4:  K=(Kref,theta)</t>
  </si>
  <si>
    <t>Tref=</t>
  </si>
  <si>
    <t>K(EU-FOCUS)</t>
  </si>
  <si>
    <t>mres,tend=</t>
  </si>
  <si>
    <t>Tref (K)=</t>
  </si>
  <si>
    <t>Ea (K)=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</si>
</sst>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0"/>
    <numFmt numFmtId="166" formatCode="0.000000"/>
    <numFmt numFmtId="167" formatCode="0.0000"/>
    <numFmt numFmtId="168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quotePrefix="1"/>
    <xf numFmtId="0" fontId="1" fillId="0" borderId="0" xfId="0" applyFont="1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6" fontId="0" fillId="0" borderId="0" xfId="0" applyNumberFormat="1"/>
    <xf numFmtId="167" fontId="0" fillId="0" borderId="0" xfId="0" applyNumberFormat="1"/>
    <xf numFmtId="0" fontId="0" fillId="0" borderId="0" xfId="0" applyFill="1"/>
    <xf numFmtId="167" fontId="0" fillId="0" borderId="0" xfId="0" applyNumberFormat="1" applyFill="1"/>
    <xf numFmtId="0" fontId="1" fillId="0" borderId="0" xfId="0" applyFont="1" applyFill="1"/>
    <xf numFmtId="167" fontId="0" fillId="0" borderId="0" xfId="0" applyNumberFormat="1" applyAlignment="1">
      <alignment horizontal="left"/>
    </xf>
    <xf numFmtId="168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7" fillId="2" borderId="0" xfId="0" applyFont="1" applyFill="1"/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'851215_Low Kd'!$A$33:$A$36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xVal>
          <c:yVal>
            <c:numRef>
              <c:f>'851215_Low Kd'!$G$33:$G$36</c:f>
              <c:numCache>
                <c:formatCode>0.00</c:formatCode>
                <c:ptCount val="4"/>
                <c:pt idx="0">
                  <c:v>65.52051152702794</c:v>
                </c:pt>
                <c:pt idx="1">
                  <c:v>64.93239925732387</c:v>
                </c:pt>
                <c:pt idx="2">
                  <c:v>64.39753084167124</c:v>
                </c:pt>
                <c:pt idx="3">
                  <c:v>63.97672505294285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58568"/>
        <c:axId val="2058548408"/>
      </c:scatterChart>
      <c:valAx>
        <c:axId val="205835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between events (d)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8548408"/>
        <c:crosses val="autoZero"/>
        <c:crossBetween val="midCat"/>
      </c:valAx>
      <c:valAx>
        <c:axId val="2058548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mres (mg/m)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58358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'851215_High Kd'!$A$33:$A$36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xVal>
          <c:yVal>
            <c:numRef>
              <c:f>'851215_High Kd'!$G$33:$G$36</c:f>
              <c:numCache>
                <c:formatCode>0.00</c:formatCode>
                <c:ptCount val="4"/>
                <c:pt idx="0">
                  <c:v>49073.89836402726</c:v>
                </c:pt>
                <c:pt idx="1">
                  <c:v>48633.41093379421</c:v>
                </c:pt>
                <c:pt idx="2">
                  <c:v>48232.80236624605</c:v>
                </c:pt>
                <c:pt idx="3">
                  <c:v>47917.62502672646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450040"/>
        <c:axId val="2094455512"/>
      </c:scatterChart>
      <c:valAx>
        <c:axId val="209445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between events (d)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4455512"/>
        <c:crosses val="autoZero"/>
        <c:crossBetween val="midCat"/>
      </c:valAx>
      <c:valAx>
        <c:axId val="2094455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mres (mg/m)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94450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23</xdr:row>
      <xdr:rowOff>133350</xdr:rowOff>
    </xdr:from>
    <xdr:to>
      <xdr:col>13</xdr:col>
      <xdr:colOff>787400</xdr:colOff>
      <xdr:row>41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23</xdr:row>
      <xdr:rowOff>133350</xdr:rowOff>
    </xdr:from>
    <xdr:to>
      <xdr:col>13</xdr:col>
      <xdr:colOff>787400</xdr:colOff>
      <xdr:row>41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5"/>
  <sheetViews>
    <sheetView tabSelected="1" topLeftCell="A11" workbookViewId="0">
      <selection activeCell="F47" sqref="F47"/>
    </sheetView>
  </sheetViews>
  <sheetFormatPr baseColWidth="10" defaultColWidth="11" defaultRowHeight="15" x14ac:dyDescent="0"/>
  <cols>
    <col min="1" max="1" width="31" customWidth="1"/>
    <col min="2" max="2" width="15" bestFit="1" customWidth="1"/>
    <col min="3" max="3" width="7.1640625" bestFit="1" customWidth="1"/>
    <col min="4" max="4" width="15.6640625" customWidth="1"/>
    <col min="5" max="5" width="12" customWidth="1"/>
    <col min="6" max="6" width="23.5" customWidth="1"/>
    <col min="7" max="7" width="6.83203125" bestFit="1" customWidth="1"/>
    <col min="8" max="8" width="6.5" customWidth="1"/>
    <col min="11" max="11" width="9.83203125" customWidth="1"/>
    <col min="12" max="13" width="8.83203125" bestFit="1" customWidth="1"/>
  </cols>
  <sheetData>
    <row r="1" spans="1:15" ht="18">
      <c r="A1" s="6" t="s">
        <v>54</v>
      </c>
    </row>
    <row r="2" spans="1:15">
      <c r="A2" t="s">
        <v>30</v>
      </c>
      <c r="F2" t="s">
        <v>29</v>
      </c>
      <c r="I2" t="s">
        <v>20</v>
      </c>
    </row>
    <row r="3" spans="1:15">
      <c r="A3" s="1" t="s">
        <v>21</v>
      </c>
      <c r="F3" s="1" t="s">
        <v>31</v>
      </c>
      <c r="I3" s="1" t="s">
        <v>21</v>
      </c>
    </row>
    <row r="4" spans="1:15">
      <c r="A4" t="s">
        <v>56</v>
      </c>
      <c r="F4" t="s">
        <v>48</v>
      </c>
      <c r="G4">
        <v>0.42</v>
      </c>
      <c r="H4" t="s">
        <v>3</v>
      </c>
      <c r="I4" s="13">
        <v>175.09800000000001</v>
      </c>
      <c r="J4" t="s">
        <v>6</v>
      </c>
      <c r="M4" t="s">
        <v>71</v>
      </c>
      <c r="N4" s="8">
        <f>I4*(1-I9/100)*1000</f>
        <v>99746.326680000027</v>
      </c>
      <c r="O4" t="s">
        <v>72</v>
      </c>
    </row>
    <row r="5" spans="1:15">
      <c r="A5" t="s">
        <v>17</v>
      </c>
      <c r="B5">
        <v>0.39600000000000002</v>
      </c>
      <c r="C5" t="s">
        <v>0</v>
      </c>
      <c r="F5" t="s">
        <v>49</v>
      </c>
      <c r="G5">
        <v>5</v>
      </c>
      <c r="H5" t="s">
        <v>50</v>
      </c>
      <c r="I5" s="13">
        <v>444.71800000000002</v>
      </c>
      <c r="J5" t="s">
        <v>7</v>
      </c>
      <c r="M5" t="s">
        <v>69</v>
      </c>
      <c r="N5" s="8">
        <f>I5*(1-I8/100)</f>
        <v>0.36022157999998994</v>
      </c>
      <c r="O5" t="s">
        <v>57</v>
      </c>
    </row>
    <row r="6" spans="1:15">
      <c r="A6" t="s">
        <v>13</v>
      </c>
      <c r="B6">
        <v>25</v>
      </c>
      <c r="C6" t="s">
        <v>1</v>
      </c>
      <c r="F6" t="s">
        <v>51</v>
      </c>
      <c r="G6">
        <v>100</v>
      </c>
      <c r="H6" t="s">
        <v>50</v>
      </c>
      <c r="I6" s="13">
        <f>I4*1000/(I5*B5)</f>
        <v>994.26303110435515</v>
      </c>
      <c r="J6" s="1" t="s">
        <v>22</v>
      </c>
      <c r="M6" t="s">
        <v>70</v>
      </c>
      <c r="N6" s="8">
        <f>I5-N5</f>
        <v>444.35777842000005</v>
      </c>
      <c r="O6" t="s">
        <v>57</v>
      </c>
    </row>
    <row r="7" spans="1:15">
      <c r="A7" t="s">
        <v>18</v>
      </c>
      <c r="B7" s="4">
        <f>LN(2)/E7</f>
        <v>2.4759677819608691E-2</v>
      </c>
      <c r="C7" t="s">
        <v>42</v>
      </c>
      <c r="D7" t="s">
        <v>74</v>
      </c>
      <c r="E7" s="12">
        <v>27.995000000000001</v>
      </c>
      <c r="F7" t="s">
        <v>67</v>
      </c>
      <c r="G7">
        <v>100</v>
      </c>
      <c r="H7" t="s">
        <v>50</v>
      </c>
      <c r="I7" s="13">
        <v>48.17</v>
      </c>
      <c r="J7" t="s">
        <v>8</v>
      </c>
      <c r="M7" t="s">
        <v>73</v>
      </c>
      <c r="N7" s="8">
        <f>B20/N6</f>
        <v>0.13775063659041867</v>
      </c>
      <c r="O7" t="s">
        <v>52</v>
      </c>
    </row>
    <row r="8" spans="1:15">
      <c r="A8" t="s">
        <v>14</v>
      </c>
      <c r="B8">
        <v>0.26</v>
      </c>
      <c r="C8" t="s">
        <v>3</v>
      </c>
      <c r="F8" t="s">
        <v>68</v>
      </c>
      <c r="G8">
        <v>100</v>
      </c>
      <c r="H8" t="s">
        <v>50</v>
      </c>
      <c r="I8" s="13">
        <v>99.918999999999997</v>
      </c>
      <c r="J8" t="s">
        <v>9</v>
      </c>
    </row>
    <row r="9" spans="1:15">
      <c r="A9" t="s">
        <v>19</v>
      </c>
      <c r="B9" s="9">
        <f>D9*G7*G8</f>
        <v>60970.000000000007</v>
      </c>
      <c r="C9" t="s">
        <v>78</v>
      </c>
      <c r="D9" s="16">
        <v>6.0970000000000004</v>
      </c>
      <c r="E9" t="s">
        <v>66</v>
      </c>
      <c r="I9" s="13">
        <v>43.033999999999999</v>
      </c>
      <c r="J9" t="s">
        <v>10</v>
      </c>
    </row>
    <row r="10" spans="1:15">
      <c r="A10" t="s">
        <v>15</v>
      </c>
      <c r="B10" s="9">
        <f xml:space="preserve">    2</f>
        <v>2</v>
      </c>
      <c r="C10" t="s">
        <v>4</v>
      </c>
      <c r="I10" s="13">
        <f>24.79+0.54*I7+0.52*I8-2.42*LN(I6+1)-0.89*B6</f>
        <v>63.804402926676815</v>
      </c>
      <c r="J10" t="s">
        <v>11</v>
      </c>
    </row>
    <row r="11" spans="1:15">
      <c r="A11" t="s">
        <v>16</v>
      </c>
      <c r="B11" s="9">
        <v>3</v>
      </c>
    </row>
    <row r="12" spans="1:15">
      <c r="B12" s="9" t="s">
        <v>2</v>
      </c>
      <c r="C12" t="s">
        <v>12</v>
      </c>
      <c r="D12" t="s">
        <v>5</v>
      </c>
      <c r="I12" t="s">
        <v>43</v>
      </c>
    </row>
    <row r="13" spans="1:15">
      <c r="B13" s="9">
        <v>1</v>
      </c>
      <c r="C13">
        <v>9.5</v>
      </c>
      <c r="D13">
        <v>0.26500000000000001</v>
      </c>
      <c r="I13" s="1" t="s">
        <v>21</v>
      </c>
    </row>
    <row r="14" spans="1:15">
      <c r="B14" s="9">
        <v>2</v>
      </c>
      <c r="C14">
        <v>8.6</v>
      </c>
      <c r="D14">
        <v>0.26400000000000001</v>
      </c>
      <c r="I14" t="s">
        <v>36</v>
      </c>
      <c r="J14" t="s">
        <v>44</v>
      </c>
      <c r="L14" s="3">
        <v>17.350000000000001</v>
      </c>
      <c r="M14" t="s">
        <v>39</v>
      </c>
    </row>
    <row r="15" spans="1:15">
      <c r="B15" s="9">
        <v>3</v>
      </c>
      <c r="C15">
        <v>6.3</v>
      </c>
      <c r="D15">
        <v>0.26500000000000001</v>
      </c>
      <c r="I15" t="s">
        <v>35</v>
      </c>
      <c r="J15" t="s">
        <v>45</v>
      </c>
      <c r="L15" s="3">
        <v>175.1</v>
      </c>
      <c r="M15" t="s">
        <v>39</v>
      </c>
    </row>
    <row r="16" spans="1:15">
      <c r="A16" s="2" t="s">
        <v>76</v>
      </c>
      <c r="B16" s="9"/>
      <c r="I16" t="s">
        <v>37</v>
      </c>
      <c r="J16" t="s">
        <v>47</v>
      </c>
      <c r="L16" s="3">
        <v>99.75</v>
      </c>
      <c r="M16" t="s">
        <v>39</v>
      </c>
    </row>
    <row r="17" spans="1:15">
      <c r="A17" t="s">
        <v>41</v>
      </c>
      <c r="B17" s="15">
        <f>B9*(1-I10/100)</f>
        <v>22068.455535605146</v>
      </c>
      <c r="C17" t="s">
        <v>53</v>
      </c>
      <c r="D17" s="5"/>
      <c r="I17" t="s">
        <v>38</v>
      </c>
      <c r="J17" t="s">
        <v>46</v>
      </c>
      <c r="K17" t="s">
        <v>55</v>
      </c>
      <c r="L17" s="3">
        <v>92.7</v>
      </c>
      <c r="M17" t="s">
        <v>39</v>
      </c>
    </row>
    <row r="18" spans="1:15">
      <c r="A18" t="s">
        <v>63</v>
      </c>
      <c r="B18" s="10">
        <f>(B9*B5)/(I4*1000+I5*B5)</f>
        <v>0.13775063659041867</v>
      </c>
      <c r="C18" t="s">
        <v>52</v>
      </c>
      <c r="D18" s="8"/>
    </row>
    <row r="19" spans="1:15">
      <c r="A19" t="s">
        <v>23</v>
      </c>
      <c r="B19" s="15">
        <f>B9*I10/100</f>
        <v>38901.544464394858</v>
      </c>
      <c r="C19" t="s">
        <v>53</v>
      </c>
      <c r="D19" s="8"/>
      <c r="I19" t="s">
        <v>43</v>
      </c>
      <c r="O19" s="3"/>
    </row>
    <row r="20" spans="1:15">
      <c r="A20" t="s">
        <v>24</v>
      </c>
      <c r="B20" s="15">
        <f>IF(B18*(I5*I8/100)&gt;B19,B19,B18*(I5*I8/100))</f>
        <v>61.210566851259209</v>
      </c>
      <c r="C20" t="s">
        <v>53</v>
      </c>
      <c r="D20" s="8"/>
      <c r="I20" s="1" t="s">
        <v>21</v>
      </c>
    </row>
    <row r="21" spans="1:15">
      <c r="A21" t="s">
        <v>40</v>
      </c>
      <c r="B21" s="15">
        <f>B19-B20</f>
        <v>38840.333897543598</v>
      </c>
      <c r="C21" t="s">
        <v>53</v>
      </c>
      <c r="I21" t="s">
        <v>61</v>
      </c>
      <c r="J21" t="s">
        <v>58</v>
      </c>
      <c r="K21" s="3"/>
      <c r="L21" s="3">
        <v>444.7</v>
      </c>
      <c r="M21" t="s">
        <v>57</v>
      </c>
    </row>
    <row r="22" spans="1:15">
      <c r="A22" t="s">
        <v>25</v>
      </c>
      <c r="B22" s="10">
        <f>B21/(L17*1000)</f>
        <v>0.41898957818277882</v>
      </c>
      <c r="C22" t="s">
        <v>28</v>
      </c>
      <c r="I22" t="s">
        <v>62</v>
      </c>
      <c r="J22" t="s">
        <v>59</v>
      </c>
      <c r="K22" s="3"/>
      <c r="L22" s="3">
        <v>0.36609999999999998</v>
      </c>
      <c r="M22" t="s">
        <v>57</v>
      </c>
    </row>
    <row r="23" spans="1:15">
      <c r="A23" t="s">
        <v>33</v>
      </c>
      <c r="B23" s="10">
        <f>(1-G4)*2.65</f>
        <v>1.5370000000000001</v>
      </c>
      <c r="C23" t="s">
        <v>32</v>
      </c>
      <c r="J23" t="s">
        <v>60</v>
      </c>
      <c r="L23">
        <v>99.9</v>
      </c>
      <c r="M23" t="s">
        <v>1</v>
      </c>
    </row>
    <row r="24" spans="1:15">
      <c r="A24" t="s">
        <v>26</v>
      </c>
      <c r="B24" s="15">
        <f>(G4+B5*B23)*B22*(B10/100)*G5*G6</f>
        <v>4.309944675768719</v>
      </c>
      <c r="C24" t="s">
        <v>53</v>
      </c>
    </row>
    <row r="25" spans="1:15">
      <c r="A25" t="s">
        <v>34</v>
      </c>
      <c r="B25" s="15">
        <f>B24+B20</f>
        <v>65.520511527027935</v>
      </c>
      <c r="C25" t="s">
        <v>53</v>
      </c>
    </row>
    <row r="26" spans="1:15">
      <c r="B26" s="15"/>
    </row>
    <row r="27" spans="1:15">
      <c r="A27" s="2" t="s">
        <v>75</v>
      </c>
      <c r="B27" s="9"/>
    </row>
    <row r="28" spans="1:15">
      <c r="A28" s="17" t="s">
        <v>86</v>
      </c>
      <c r="B28" s="9">
        <v>1</v>
      </c>
      <c r="C28" t="s">
        <v>89</v>
      </c>
    </row>
    <row r="29" spans="1:15">
      <c r="A29" s="17" t="s">
        <v>92</v>
      </c>
      <c r="B29" s="9">
        <f>IF(B28=1,293.15,298.15)</f>
        <v>293.14999999999998</v>
      </c>
      <c r="C29" t="s">
        <v>90</v>
      </c>
    </row>
    <row r="30" spans="1:15">
      <c r="A30" s="17" t="s">
        <v>96</v>
      </c>
      <c r="B30" s="9">
        <f>IF(B28=1,65.4,49.5)</f>
        <v>65.400000000000006</v>
      </c>
      <c r="C30" t="s">
        <v>88</v>
      </c>
    </row>
    <row r="31" spans="1:15">
      <c r="A31" s="17"/>
      <c r="B31" s="9"/>
      <c r="C31" t="s">
        <v>91</v>
      </c>
    </row>
    <row r="32" spans="1:15">
      <c r="A32" t="s">
        <v>2</v>
      </c>
      <c r="B32" t="s">
        <v>12</v>
      </c>
      <c r="C32" t="s">
        <v>5</v>
      </c>
      <c r="D32" t="s">
        <v>83</v>
      </c>
      <c r="E32" t="s">
        <v>84</v>
      </c>
      <c r="F32" t="s">
        <v>85</v>
      </c>
      <c r="G32" t="s">
        <v>87</v>
      </c>
    </row>
    <row r="33" spans="1:8">
      <c r="A33">
        <v>0</v>
      </c>
      <c r="D33" s="4"/>
      <c r="G33" s="14">
        <f>B25</f>
        <v>65.520511527027935</v>
      </c>
    </row>
    <row r="34" spans="1:8">
      <c r="A34">
        <f t="shared" ref="A34:C36" si="0">B13</f>
        <v>1</v>
      </c>
      <c r="B34">
        <f t="shared" si="0"/>
        <v>9.5</v>
      </c>
      <c r="C34">
        <f t="shared" si="0"/>
        <v>0.26500000000000001</v>
      </c>
      <c r="D34">
        <f>IF($B$28=1,EXP($B$30/0.008314*(1/$B$29-1/(273.15+$B34))),IF($B$28=2,1,IF($B$28=3,EXP($B$30/0.008314*(1/$B$29-1/(273.15+$B34))),IF($B$28=4,1,"no deg"))))</f>
        <v>0.36904997741062895</v>
      </c>
      <c r="E34">
        <f>IF($B$28=1,(C34/$B$8)^(-0.7),IF($B$28=2,1,IF($B$28=3,1,IF($B$28=4,(C34/$B$8)^(-0.7),"no deg"))))</f>
        <v>0.9867547640007287</v>
      </c>
      <c r="F34" s="7">
        <f>$B$7*D34*E34</f>
        <v>9.0165294207013025E-3</v>
      </c>
      <c r="G34" s="14">
        <f>G33*EXP(-F34*1)</f>
        <v>64.932399257323866</v>
      </c>
      <c r="H34" s="8"/>
    </row>
    <row r="35" spans="1:8">
      <c r="A35">
        <f t="shared" si="0"/>
        <v>2</v>
      </c>
      <c r="B35">
        <f t="shared" si="0"/>
        <v>8.6</v>
      </c>
      <c r="C35">
        <f t="shared" si="0"/>
        <v>0.26400000000000001</v>
      </c>
      <c r="D35">
        <f t="shared" ref="D35:D36" si="1">IF($B$28=1,EXP($B$30/0.008314*(1/$B$29-1/(273.15+$B35))),IF($B$28=2,1,IF($B$28=3,EXP($B$30/0.008314*(1/$B$29-1/(273.15+$B35))),IF($B$28=4,1,"no deg"))))</f>
        <v>0.33765780906249626</v>
      </c>
      <c r="E35">
        <f t="shared" ref="E35:E36" si="2">IF($B$28=1,(C35/$B$8)^(-0.7),IF($B$28=2,1,IF($B$28=3,1,IF($B$28=4,(C35/$B$8)^(-0.7),"no deg"))))</f>
        <v>0.98936967505492579</v>
      </c>
      <c r="F35" s="7">
        <f t="shared" ref="F35:F36" si="3">$B$7*D35*E35</f>
        <v>8.2714258752715278E-3</v>
      </c>
      <c r="G35" s="14">
        <f t="shared" ref="G35" si="4">G34*EXP(-F35*1)</f>
        <v>64.397530841671241</v>
      </c>
      <c r="H35" s="8"/>
    </row>
    <row r="36" spans="1:8">
      <c r="A36">
        <f t="shared" si="0"/>
        <v>3</v>
      </c>
      <c r="B36">
        <f t="shared" si="0"/>
        <v>6.3</v>
      </c>
      <c r="C36">
        <f t="shared" si="0"/>
        <v>0.26500000000000001</v>
      </c>
      <c r="D36">
        <f t="shared" si="1"/>
        <v>0.26833733133836724</v>
      </c>
      <c r="E36">
        <f t="shared" si="2"/>
        <v>0.9867547640007287</v>
      </c>
      <c r="F36" s="7">
        <f t="shared" si="3"/>
        <v>6.555945239884951E-3</v>
      </c>
      <c r="G36" s="14">
        <f>G35*EXP(-F36*1)</f>
        <v>63.976725052942854</v>
      </c>
      <c r="H36" s="8"/>
    </row>
    <row r="37" spans="1:8">
      <c r="A37" t="s">
        <v>27</v>
      </c>
      <c r="F37" s="18" t="s">
        <v>94</v>
      </c>
      <c r="G37" s="19">
        <f>G36</f>
        <v>63.976725052942854</v>
      </c>
      <c r="H37" s="2" t="s">
        <v>53</v>
      </c>
    </row>
    <row r="38" spans="1:8">
      <c r="A38" s="9"/>
      <c r="B38" s="9"/>
      <c r="F38" t="s">
        <v>93</v>
      </c>
      <c r="G38" s="14">
        <f>B25</f>
        <v>65.520511527027935</v>
      </c>
    </row>
    <row r="39" spans="1:8">
      <c r="A39" s="11" t="s">
        <v>77</v>
      </c>
      <c r="B39" s="9"/>
      <c r="F39" s="7">
        <f>$B$7*EXP(65.4/0.008314*(1/293.15-1/(273.15+B34)))*(C34/$B$8)^(-0.7)</f>
        <v>9.0165294207013025E-3</v>
      </c>
      <c r="G39" s="14">
        <f>G38*EXP(-F39*1)</f>
        <v>64.932399257323866</v>
      </c>
    </row>
    <row r="40" spans="1:8">
      <c r="A40" t="s">
        <v>41</v>
      </c>
      <c r="B40" s="14">
        <f>B17</f>
        <v>22068.455535605146</v>
      </c>
      <c r="C40" t="s">
        <v>53</v>
      </c>
      <c r="F40" s="7">
        <f t="shared" ref="F40:F41" si="5">$B$7*EXP(65.4/0.008314*(1/293.15-1/(273.15+B35)))*(C35/$B$8)^(-0.7)</f>
        <v>8.2714258752715278E-3</v>
      </c>
      <c r="G40" s="14">
        <f t="shared" ref="G40:G41" si="6">G39*EXP(-F40*1)</f>
        <v>64.397530841671241</v>
      </c>
    </row>
    <row r="41" spans="1:8">
      <c r="A41" t="s">
        <v>64</v>
      </c>
      <c r="B41" s="8">
        <f>N7</f>
        <v>0.13775063659041867</v>
      </c>
      <c r="C41" t="s">
        <v>65</v>
      </c>
      <c r="F41" s="7">
        <f t="shared" si="5"/>
        <v>6.555945239884951E-3</v>
      </c>
      <c r="G41" s="14">
        <f t="shared" si="6"/>
        <v>63.976725052942854</v>
      </c>
    </row>
    <row r="42" spans="1:8">
      <c r="A42" s="9" t="s">
        <v>81</v>
      </c>
      <c r="B42" s="10">
        <f>$I$5*((100-$I$8)/100)</f>
        <v>0.3602215800000137</v>
      </c>
      <c r="C42" t="s">
        <v>57</v>
      </c>
      <c r="F42" s="18" t="s">
        <v>94</v>
      </c>
      <c r="G42" s="19">
        <f>G41</f>
        <v>63.976725052942854</v>
      </c>
      <c r="H42" s="2" t="s">
        <v>53</v>
      </c>
    </row>
    <row r="43" spans="1:8">
      <c r="A43" s="9" t="s">
        <v>82</v>
      </c>
      <c r="B43" s="10">
        <f>$I$4*((100-$I$9)/100)*1000</f>
        <v>99746.326680000027</v>
      </c>
      <c r="C43" t="s">
        <v>72</v>
      </c>
    </row>
    <row r="44" spans="1:8">
      <c r="A44" s="9" t="s">
        <v>79</v>
      </c>
      <c r="B44" s="8">
        <f>B40*B42*B5/(B43+B42*B5)</f>
        <v>3.1560169036658342E-2</v>
      </c>
      <c r="C44" t="s">
        <v>53</v>
      </c>
    </row>
    <row r="45" spans="1:8">
      <c r="A45" s="9" t="s">
        <v>80</v>
      </c>
      <c r="B45" s="14">
        <f>B40-B44</f>
        <v>22068.423975436108</v>
      </c>
      <c r="C45" t="s">
        <v>53</v>
      </c>
    </row>
  </sheetData>
  <pageMargins left="0.75" right="0.75" top="1" bottom="1" header="0.5" footer="0.5"/>
  <pageSetup scale="53" orientation="landscape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5"/>
  <sheetViews>
    <sheetView topLeftCell="A9" workbookViewId="0">
      <selection activeCell="B29" sqref="B29"/>
    </sheetView>
  </sheetViews>
  <sheetFormatPr baseColWidth="10" defaultColWidth="11" defaultRowHeight="15" x14ac:dyDescent="0"/>
  <cols>
    <col min="1" max="1" width="31" customWidth="1"/>
    <col min="2" max="2" width="15" bestFit="1" customWidth="1"/>
    <col min="3" max="3" width="7.1640625" bestFit="1" customWidth="1"/>
    <col min="4" max="4" width="15.6640625" customWidth="1"/>
    <col min="5" max="5" width="12" customWidth="1"/>
    <col min="6" max="6" width="23.5" customWidth="1"/>
    <col min="7" max="7" width="11.5" customWidth="1"/>
    <col min="8" max="8" width="6.5" customWidth="1"/>
    <col min="11" max="11" width="9.83203125" customWidth="1"/>
    <col min="12" max="13" width="8.83203125" bestFit="1" customWidth="1"/>
  </cols>
  <sheetData>
    <row r="1" spans="1:15" ht="18">
      <c r="A1" s="6" t="s">
        <v>54</v>
      </c>
    </row>
    <row r="2" spans="1:15">
      <c r="A2" t="s">
        <v>30</v>
      </c>
      <c r="F2" t="s">
        <v>29</v>
      </c>
      <c r="I2" t="s">
        <v>20</v>
      </c>
    </row>
    <row r="3" spans="1:15">
      <c r="A3" s="1" t="s">
        <v>21</v>
      </c>
      <c r="F3" s="1" t="s">
        <v>31</v>
      </c>
      <c r="I3" s="1" t="s">
        <v>21</v>
      </c>
    </row>
    <row r="4" spans="1:15">
      <c r="A4" t="s">
        <v>56</v>
      </c>
      <c r="F4" t="s">
        <v>48</v>
      </c>
      <c r="G4">
        <v>0.42</v>
      </c>
      <c r="H4" t="s">
        <v>3</v>
      </c>
      <c r="I4" s="13">
        <v>175.09800000000001</v>
      </c>
      <c r="J4" t="s">
        <v>6</v>
      </c>
      <c r="M4" t="s">
        <v>71</v>
      </c>
      <c r="N4" s="8">
        <f>I4*(1-I9/100)*1000</f>
        <v>99746.326680000027</v>
      </c>
      <c r="O4" t="s">
        <v>72</v>
      </c>
    </row>
    <row r="5" spans="1:15">
      <c r="A5" t="s">
        <v>17</v>
      </c>
      <c r="B5" s="20">
        <v>45000</v>
      </c>
      <c r="C5" t="s">
        <v>0</v>
      </c>
      <c r="F5" t="s">
        <v>49</v>
      </c>
      <c r="G5">
        <v>5</v>
      </c>
      <c r="H5" t="s">
        <v>50</v>
      </c>
      <c r="I5" s="13">
        <v>444.71800000000002</v>
      </c>
      <c r="J5" t="s">
        <v>7</v>
      </c>
      <c r="M5" t="s">
        <v>69</v>
      </c>
      <c r="N5" s="8">
        <f>I5*(1-I8/100)</f>
        <v>0.36022157999998994</v>
      </c>
      <c r="O5" t="s">
        <v>57</v>
      </c>
    </row>
    <row r="6" spans="1:15">
      <c r="A6" t="s">
        <v>13</v>
      </c>
      <c r="B6">
        <v>25</v>
      </c>
      <c r="C6" t="s">
        <v>1</v>
      </c>
      <c r="F6" t="s">
        <v>51</v>
      </c>
      <c r="G6">
        <v>100</v>
      </c>
      <c r="H6" t="s">
        <v>50</v>
      </c>
      <c r="I6" s="13">
        <f>I4*1000/(I5*B5)</f>
        <v>8.7495146737183258E-3</v>
      </c>
      <c r="J6" s="1" t="s">
        <v>22</v>
      </c>
      <c r="M6" t="s">
        <v>70</v>
      </c>
      <c r="N6" s="8">
        <f>I5-N5</f>
        <v>444.35777842000005</v>
      </c>
      <c r="O6" t="s">
        <v>57</v>
      </c>
    </row>
    <row r="7" spans="1:15">
      <c r="A7" t="s">
        <v>18</v>
      </c>
      <c r="B7" s="4">
        <f>LN(2)/E7</f>
        <v>2.4759677819608691E-2</v>
      </c>
      <c r="C7" t="s">
        <v>42</v>
      </c>
      <c r="D7" t="s">
        <v>74</v>
      </c>
      <c r="E7" s="12">
        <v>27.995000000000001</v>
      </c>
      <c r="F7" t="s">
        <v>67</v>
      </c>
      <c r="G7">
        <v>100</v>
      </c>
      <c r="H7" t="s">
        <v>50</v>
      </c>
      <c r="I7" s="13">
        <v>48.17</v>
      </c>
      <c r="J7" t="s">
        <v>8</v>
      </c>
      <c r="M7" t="s">
        <v>73</v>
      </c>
      <c r="N7" s="8">
        <f>B20/N6</f>
        <v>110.43780653175237</v>
      </c>
      <c r="O7" t="s">
        <v>52</v>
      </c>
    </row>
    <row r="8" spans="1:15">
      <c r="A8" t="s">
        <v>14</v>
      </c>
      <c r="B8">
        <v>0.26</v>
      </c>
      <c r="C8" t="s">
        <v>3</v>
      </c>
      <c r="F8" t="s">
        <v>68</v>
      </c>
      <c r="G8">
        <v>100</v>
      </c>
      <c r="H8" t="s">
        <v>50</v>
      </c>
      <c r="I8" s="13">
        <v>99.918999999999997</v>
      </c>
      <c r="J8" t="s">
        <v>9</v>
      </c>
    </row>
    <row r="9" spans="1:15">
      <c r="A9" t="s">
        <v>19</v>
      </c>
      <c r="B9" s="9">
        <f>D9*G7*G8</f>
        <v>60970.000000000007</v>
      </c>
      <c r="C9" t="s">
        <v>78</v>
      </c>
      <c r="D9" s="16">
        <v>6.0970000000000004</v>
      </c>
      <c r="E9" t="s">
        <v>66</v>
      </c>
      <c r="I9" s="13">
        <v>43.033999999999999</v>
      </c>
      <c r="J9" t="s">
        <v>10</v>
      </c>
    </row>
    <row r="10" spans="1:15">
      <c r="A10" t="s">
        <v>15</v>
      </c>
      <c r="B10" s="9">
        <f xml:space="preserve">    2</f>
        <v>2</v>
      </c>
      <c r="C10" t="s">
        <v>4</v>
      </c>
      <c r="I10" s="13">
        <f>24.79+0.54*I7+0.52*I8-2.42*LN(I6+1)-0.89*B6</f>
        <v>80.488598268045351</v>
      </c>
      <c r="J10" t="s">
        <v>11</v>
      </c>
    </row>
    <row r="11" spans="1:15">
      <c r="A11" t="s">
        <v>16</v>
      </c>
      <c r="B11" s="9">
        <v>3</v>
      </c>
    </row>
    <row r="12" spans="1:15">
      <c r="B12" s="9" t="s">
        <v>2</v>
      </c>
      <c r="C12" t="s">
        <v>12</v>
      </c>
      <c r="D12" t="s">
        <v>5</v>
      </c>
      <c r="I12" t="s">
        <v>43</v>
      </c>
    </row>
    <row r="13" spans="1:15">
      <c r="B13" s="9">
        <v>1</v>
      </c>
      <c r="C13">
        <v>9.5</v>
      </c>
      <c r="D13">
        <v>0.26500000000000001</v>
      </c>
      <c r="I13" s="1" t="s">
        <v>21</v>
      </c>
    </row>
    <row r="14" spans="1:15">
      <c r="B14" s="9">
        <v>2</v>
      </c>
      <c r="C14">
        <v>8.6</v>
      </c>
      <c r="D14">
        <v>0.26400000000000001</v>
      </c>
      <c r="I14" t="s">
        <v>36</v>
      </c>
      <c r="J14" t="s">
        <v>44</v>
      </c>
      <c r="L14" s="3">
        <v>17.350000000000001</v>
      </c>
      <c r="M14" t="s">
        <v>39</v>
      </c>
    </row>
    <row r="15" spans="1:15">
      <c r="B15" s="9">
        <v>3</v>
      </c>
      <c r="C15">
        <v>6.3</v>
      </c>
      <c r="D15">
        <v>0.26500000000000001</v>
      </c>
      <c r="I15" t="s">
        <v>35</v>
      </c>
      <c r="J15" t="s">
        <v>45</v>
      </c>
      <c r="L15" s="3">
        <v>175.1</v>
      </c>
      <c r="M15" t="s">
        <v>39</v>
      </c>
    </row>
    <row r="16" spans="1:15">
      <c r="A16" s="2" t="s">
        <v>76</v>
      </c>
      <c r="B16" s="9"/>
      <c r="I16" t="s">
        <v>37</v>
      </c>
      <c r="J16" t="s">
        <v>47</v>
      </c>
      <c r="L16" s="3">
        <v>99.75</v>
      </c>
      <c r="M16" t="s">
        <v>39</v>
      </c>
    </row>
    <row r="17" spans="1:15">
      <c r="A17" t="s">
        <v>41</v>
      </c>
      <c r="B17" s="15">
        <f>B9*(1-I10/100)</f>
        <v>11896.101635972749</v>
      </c>
      <c r="C17" t="s">
        <v>53</v>
      </c>
      <c r="D17" s="5"/>
      <c r="I17" t="s">
        <v>38</v>
      </c>
      <c r="J17" t="s">
        <v>46</v>
      </c>
      <c r="K17" t="s">
        <v>55</v>
      </c>
      <c r="L17" s="3">
        <v>92.7</v>
      </c>
      <c r="M17" t="s">
        <v>39</v>
      </c>
    </row>
    <row r="18" spans="1:15">
      <c r="A18" t="s">
        <v>63</v>
      </c>
      <c r="B18" s="10">
        <f>(B9*B5)/(I4*1000+I5*B5)</f>
        <v>135.90897850779064</v>
      </c>
      <c r="C18" t="s">
        <v>52</v>
      </c>
      <c r="D18" s="8"/>
    </row>
    <row r="19" spans="1:15">
      <c r="A19" t="s">
        <v>23</v>
      </c>
      <c r="B19" s="15">
        <f>B9*I10/100</f>
        <v>49073.898364027256</v>
      </c>
      <c r="C19" t="s">
        <v>53</v>
      </c>
      <c r="D19" s="8"/>
      <c r="I19" t="s">
        <v>43</v>
      </c>
      <c r="O19" s="3"/>
    </row>
    <row r="20" spans="1:15">
      <c r="A20" t="s">
        <v>24</v>
      </c>
      <c r="B20" s="15">
        <f>IF(B18*(I5*I8/100)&gt;B19,B19,B18*(I5*I8/100))</f>
        <v>49073.898364027256</v>
      </c>
      <c r="C20" t="s">
        <v>53</v>
      </c>
      <c r="D20" s="8"/>
      <c r="I20" s="1" t="s">
        <v>21</v>
      </c>
    </row>
    <row r="21" spans="1:15">
      <c r="A21" t="s">
        <v>40</v>
      </c>
      <c r="B21" s="15">
        <f>B19-B20</f>
        <v>0</v>
      </c>
      <c r="C21" t="s">
        <v>53</v>
      </c>
      <c r="I21" t="s">
        <v>61</v>
      </c>
      <c r="J21" t="s">
        <v>58</v>
      </c>
      <c r="K21" s="3"/>
      <c r="L21" s="3">
        <v>444.7</v>
      </c>
      <c r="M21" t="s">
        <v>57</v>
      </c>
    </row>
    <row r="22" spans="1:15">
      <c r="A22" t="s">
        <v>25</v>
      </c>
      <c r="B22" s="10">
        <f>B21/(L17*1000)</f>
        <v>0</v>
      </c>
      <c r="C22" t="s">
        <v>28</v>
      </c>
      <c r="I22" t="s">
        <v>62</v>
      </c>
      <c r="J22" t="s">
        <v>59</v>
      </c>
      <c r="K22" s="3"/>
      <c r="L22" s="3">
        <v>0.36609999999999998</v>
      </c>
      <c r="M22" t="s">
        <v>57</v>
      </c>
    </row>
    <row r="23" spans="1:15">
      <c r="A23" t="s">
        <v>33</v>
      </c>
      <c r="B23" s="10">
        <f>(1-G4)*2.65</f>
        <v>1.5370000000000001</v>
      </c>
      <c r="C23" t="s">
        <v>32</v>
      </c>
      <c r="J23" t="s">
        <v>60</v>
      </c>
      <c r="L23">
        <v>99.9</v>
      </c>
      <c r="M23" t="s">
        <v>1</v>
      </c>
    </row>
    <row r="24" spans="1:15">
      <c r="A24" t="s">
        <v>26</v>
      </c>
      <c r="B24" s="15">
        <f>(G4+B5*B23)*B22*(B10/100)*G5*G6</f>
        <v>0</v>
      </c>
      <c r="C24" t="s">
        <v>53</v>
      </c>
    </row>
    <row r="25" spans="1:15">
      <c r="A25" t="s">
        <v>34</v>
      </c>
      <c r="B25" s="15">
        <f>B24+B20</f>
        <v>49073.898364027256</v>
      </c>
      <c r="C25" t="s">
        <v>53</v>
      </c>
    </row>
    <row r="26" spans="1:15">
      <c r="B26" s="15"/>
    </row>
    <row r="27" spans="1:15">
      <c r="A27" s="2" t="s">
        <v>75</v>
      </c>
      <c r="B27" s="9"/>
    </row>
    <row r="28" spans="1:15">
      <c r="A28" s="17" t="s">
        <v>86</v>
      </c>
      <c r="B28" s="9">
        <v>1</v>
      </c>
      <c r="C28" t="s">
        <v>89</v>
      </c>
    </row>
    <row r="29" spans="1:15">
      <c r="A29" s="17" t="s">
        <v>95</v>
      </c>
      <c r="B29" s="9">
        <f>IF(B28=1,293.15,298.15)</f>
        <v>293.14999999999998</v>
      </c>
      <c r="C29" t="s">
        <v>90</v>
      </c>
    </row>
    <row r="30" spans="1:15">
      <c r="A30" s="17" t="s">
        <v>96</v>
      </c>
      <c r="B30" s="9">
        <f>IF(B28=1,65.4,49.5)</f>
        <v>65.400000000000006</v>
      </c>
      <c r="C30" t="s">
        <v>88</v>
      </c>
    </row>
    <row r="31" spans="1:15">
      <c r="A31" s="17"/>
      <c r="B31" s="9"/>
      <c r="C31" t="s">
        <v>91</v>
      </c>
    </row>
    <row r="32" spans="1:15">
      <c r="A32" t="s">
        <v>2</v>
      </c>
      <c r="B32" t="s">
        <v>12</v>
      </c>
      <c r="C32" t="s">
        <v>5</v>
      </c>
      <c r="D32" t="s">
        <v>83</v>
      </c>
      <c r="E32" t="s">
        <v>84</v>
      </c>
      <c r="F32" t="s">
        <v>85</v>
      </c>
      <c r="G32" t="s">
        <v>87</v>
      </c>
    </row>
    <row r="33" spans="1:8">
      <c r="A33">
        <v>0</v>
      </c>
      <c r="D33" s="4"/>
      <c r="G33" s="14">
        <f>B25</f>
        <v>49073.898364027256</v>
      </c>
    </row>
    <row r="34" spans="1:8">
      <c r="A34">
        <f t="shared" ref="A34:C36" si="0">B13</f>
        <v>1</v>
      </c>
      <c r="B34">
        <f t="shared" si="0"/>
        <v>9.5</v>
      </c>
      <c r="C34">
        <f t="shared" si="0"/>
        <v>0.26500000000000001</v>
      </c>
      <c r="D34">
        <f>IF($B$28=1,EXP($B$30/0.008314*(1/$B$29-1/(273.15+$B34))),IF($B$28=2,1,IF($B$28=3,EXP($B$30/0.008314*(1/$B$29-1/(273.15+$B34))),IF($B$28=4,1,"no deg"))))</f>
        <v>0.36904997741062895</v>
      </c>
      <c r="E34">
        <f>IF($B$28=1,(C34/$B$8)^(-0.7),IF($B$28=2,1,IF($B$28=3,1,IF($B$28=4,(C34/$B$8)^(-0.7),"no deg"))))</f>
        <v>0.9867547640007287</v>
      </c>
      <c r="F34" s="7">
        <f>$B$7*D34*E34</f>
        <v>9.0165294207013025E-3</v>
      </c>
      <c r="G34" s="14">
        <f>G33*EXP(-F34*1)</f>
        <v>48633.410933794214</v>
      </c>
      <c r="H34" s="8"/>
    </row>
    <row r="35" spans="1:8">
      <c r="A35">
        <f t="shared" si="0"/>
        <v>2</v>
      </c>
      <c r="B35">
        <f t="shared" si="0"/>
        <v>8.6</v>
      </c>
      <c r="C35">
        <f t="shared" si="0"/>
        <v>0.26400000000000001</v>
      </c>
      <c r="D35">
        <f t="shared" ref="D35:D36" si="1">IF($B$28=1,EXP($B$30/0.008314*(1/$B$29-1/(273.15+$B35))),IF($B$28=2,1,IF($B$28=3,EXP($B$30/0.008314*(1/$B$29-1/(273.15+$B35))),IF($B$28=4,1,"no deg"))))</f>
        <v>0.33765780906249626</v>
      </c>
      <c r="E35">
        <f t="shared" ref="E35:E36" si="2">IF($B$28=1,(C35/$B$8)^(-0.7),IF($B$28=2,1,IF($B$28=3,1,IF($B$28=4,(C35/$B$8)^(-0.7),"no deg"))))</f>
        <v>0.98936967505492579</v>
      </c>
      <c r="F35" s="7">
        <f t="shared" ref="F35:F36" si="3">$B$7*D35*E35</f>
        <v>8.2714258752715278E-3</v>
      </c>
      <c r="G35" s="14">
        <f t="shared" ref="G35" si="4">G34*EXP(-F35*1)</f>
        <v>48232.802366246055</v>
      </c>
      <c r="H35" s="8"/>
    </row>
    <row r="36" spans="1:8">
      <c r="A36">
        <f t="shared" si="0"/>
        <v>3</v>
      </c>
      <c r="B36">
        <f t="shared" si="0"/>
        <v>6.3</v>
      </c>
      <c r="C36">
        <f t="shared" si="0"/>
        <v>0.26500000000000001</v>
      </c>
      <c r="D36">
        <f t="shared" si="1"/>
        <v>0.26833733133836724</v>
      </c>
      <c r="E36">
        <f t="shared" si="2"/>
        <v>0.9867547640007287</v>
      </c>
      <c r="F36" s="7">
        <f t="shared" si="3"/>
        <v>6.555945239884951E-3</v>
      </c>
      <c r="G36" s="14">
        <f>G35*EXP(-F36*1)</f>
        <v>47917.625026726462</v>
      </c>
      <c r="H36" s="8"/>
    </row>
    <row r="37" spans="1:8">
      <c r="A37" t="s">
        <v>27</v>
      </c>
      <c r="F37" s="18" t="s">
        <v>94</v>
      </c>
      <c r="G37" s="19">
        <f>G36</f>
        <v>47917.625026726462</v>
      </c>
      <c r="H37" s="2" t="s">
        <v>53</v>
      </c>
    </row>
    <row r="38" spans="1:8">
      <c r="A38" s="9"/>
      <c r="B38" s="9"/>
      <c r="F38" t="s">
        <v>93</v>
      </c>
      <c r="G38" s="14">
        <f>B25</f>
        <v>49073.898364027256</v>
      </c>
    </row>
    <row r="39" spans="1:8">
      <c r="A39" s="11" t="s">
        <v>77</v>
      </c>
      <c r="B39" s="9"/>
      <c r="F39" s="7">
        <f>$B$7*EXP(65.4/0.008314*(1/293.15-1/(273.15+B34)))*(C34/$B$8)^(-0.7)</f>
        <v>9.0165294207013025E-3</v>
      </c>
      <c r="G39" s="14">
        <f>G38*EXP(-F39*1)</f>
        <v>48633.410933794214</v>
      </c>
    </row>
    <row r="40" spans="1:8">
      <c r="A40" t="s">
        <v>41</v>
      </c>
      <c r="B40" s="14">
        <f>B17</f>
        <v>11896.101635972749</v>
      </c>
      <c r="C40" t="s">
        <v>53</v>
      </c>
      <c r="F40" s="7">
        <f t="shared" ref="F40:F41" si="5">$B$7*EXP(65.4/0.008314*(1/293.15-1/(273.15+B35)))*(C35/$B$8)^(-0.7)</f>
        <v>8.2714258752715278E-3</v>
      </c>
      <c r="G40" s="14">
        <f t="shared" ref="G40:G41" si="6">G39*EXP(-F40*1)</f>
        <v>48232.802366246055</v>
      </c>
    </row>
    <row r="41" spans="1:8">
      <c r="A41" t="s">
        <v>64</v>
      </c>
      <c r="B41" s="8">
        <f>N7</f>
        <v>110.43780653175237</v>
      </c>
      <c r="C41" t="s">
        <v>65</v>
      </c>
      <c r="F41" s="7">
        <f t="shared" si="5"/>
        <v>6.555945239884951E-3</v>
      </c>
      <c r="G41" s="14">
        <f t="shared" si="6"/>
        <v>47917.625026726462</v>
      </c>
    </row>
    <row r="42" spans="1:8">
      <c r="A42" s="9" t="s">
        <v>81</v>
      </c>
      <c r="B42" s="10">
        <f>$I$5*((100-$I$8)/100)</f>
        <v>0.3602215800000137</v>
      </c>
      <c r="C42" t="s">
        <v>57</v>
      </c>
      <c r="F42" s="18" t="s">
        <v>94</v>
      </c>
      <c r="G42" s="19">
        <f>G41</f>
        <v>47917.625026726462</v>
      </c>
      <c r="H42" s="2" t="s">
        <v>53</v>
      </c>
    </row>
    <row r="43" spans="1:8">
      <c r="A43" s="9" t="s">
        <v>82</v>
      </c>
      <c r="B43" s="10">
        <f>$I$4*((100-$I$9)/100)*1000</f>
        <v>99746.326680000027</v>
      </c>
      <c r="C43" t="s">
        <v>72</v>
      </c>
    </row>
    <row r="44" spans="1:8">
      <c r="A44" s="9" t="s">
        <v>79</v>
      </c>
      <c r="B44" s="8">
        <f>B40*B42*B5/(B43+B42*B5)</f>
        <v>1663.0012117810754</v>
      </c>
      <c r="C44" t="s">
        <v>53</v>
      </c>
    </row>
    <row r="45" spans="1:8">
      <c r="A45" s="9" t="s">
        <v>80</v>
      </c>
      <c r="B45" s="14">
        <f>B40-B44</f>
        <v>10233.100424191674</v>
      </c>
      <c r="C45" t="s">
        <v>53</v>
      </c>
    </row>
  </sheetData>
  <pageMargins left="0.75" right="0.75" top="1" bottom="1" header="0.5" footer="0.5"/>
  <pageSetup scale="53" orientation="landscape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851215_Low Kd</vt:lpstr>
      <vt:lpstr>851215_High Kd</vt:lpstr>
    </vt:vector>
  </TitlesOfParts>
  <Company>University of Florida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Munoz-Carpena</dc:creator>
  <cp:lastModifiedBy>Rafael Muñoz-Carpena</cp:lastModifiedBy>
  <cp:lastPrinted>2012-05-24T21:15:31Z</cp:lastPrinted>
  <dcterms:created xsi:type="dcterms:W3CDTF">2012-05-24T09:36:39Z</dcterms:created>
  <dcterms:modified xsi:type="dcterms:W3CDTF">2014-03-07T23:12:35Z</dcterms:modified>
</cp:coreProperties>
</file>